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Converter\Testing\FilterBoards\Template\Project Outputs for FilterBoardTemplate\"/>
    </mc:Choice>
  </mc:AlternateContent>
  <xr:revisionPtr revIDLastSave="0" documentId="8_{F114A233-6A02-458A-9A44-B9623BF3EF93}" xr6:coauthVersionLast="47" xr6:coauthVersionMax="47" xr10:uidLastSave="{00000000-0000-0000-0000-000000000000}"/>
  <bookViews>
    <workbookView xWindow="2200" yWindow="2410" windowWidth="26390" windowHeight="1859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9" i="3" l="1"/>
  <c r="L29" i="3"/>
  <c r="M28" i="3"/>
  <c r="N28" i="3" s="1"/>
  <c r="O28" i="3" s="1"/>
  <c r="L28" i="3"/>
  <c r="M27" i="3"/>
  <c r="L27" i="3"/>
  <c r="M26" i="3"/>
  <c r="N26" i="3" s="1"/>
  <c r="O26" i="3" s="1"/>
  <c r="L26" i="3"/>
  <c r="M25" i="3"/>
  <c r="L25" i="3"/>
  <c r="M24" i="3"/>
  <c r="N24" i="3" s="1"/>
  <c r="O24" i="3" s="1"/>
  <c r="L24" i="3"/>
  <c r="M23" i="3"/>
  <c r="L23" i="3"/>
  <c r="M22" i="3"/>
  <c r="N22" i="3" s="1"/>
  <c r="O22" i="3" s="1"/>
  <c r="L22" i="3"/>
  <c r="M21" i="3"/>
  <c r="L21" i="3"/>
  <c r="M20" i="3"/>
  <c r="N20" i="3" s="1"/>
  <c r="O20" i="3" s="1"/>
  <c r="L20" i="3"/>
  <c r="M19" i="3"/>
  <c r="L19" i="3"/>
  <c r="M18" i="3"/>
  <c r="N18" i="3" s="1"/>
  <c r="O18" i="3" s="1"/>
  <c r="L18" i="3"/>
  <c r="M17" i="3"/>
  <c r="L17" i="3"/>
  <c r="M16" i="3"/>
  <c r="N16" i="3" s="1"/>
  <c r="O16" i="3" s="1"/>
  <c r="L16" i="3"/>
  <c r="M15" i="3"/>
  <c r="L15" i="3"/>
  <c r="M14" i="3"/>
  <c r="N14" i="3" s="1"/>
  <c r="O14" i="3" s="1"/>
  <c r="L14" i="3"/>
  <c r="M13" i="3"/>
  <c r="L13" i="3"/>
  <c r="M12" i="3"/>
  <c r="N12" i="3" s="1"/>
  <c r="O12" i="3" s="1"/>
  <c r="L12" i="3"/>
  <c r="L11" i="3"/>
  <c r="M11" i="3"/>
  <c r="M10" i="3"/>
  <c r="L10" i="3"/>
  <c r="G40" i="3"/>
  <c r="G39" i="3"/>
  <c r="G38" i="3"/>
  <c r="G37" i="3"/>
  <c r="G36" i="3"/>
  <c r="G35" i="3"/>
  <c r="B30" i="3"/>
  <c r="F8" i="3"/>
  <c r="G8" i="3"/>
  <c r="N13" i="3" l="1"/>
  <c r="O13" i="3" s="1"/>
  <c r="N17" i="3"/>
  <c r="O17" i="3" s="1"/>
  <c r="N21" i="3"/>
  <c r="O21" i="3" s="1"/>
  <c r="N25" i="3"/>
  <c r="O25" i="3" s="1"/>
  <c r="N29" i="3"/>
  <c r="O29" i="3" s="1"/>
  <c r="N15" i="3"/>
  <c r="O15" i="3" s="1"/>
  <c r="N19" i="3"/>
  <c r="O19" i="3" s="1"/>
  <c r="N23" i="3"/>
  <c r="O23" i="3" s="1"/>
  <c r="N27" i="3"/>
  <c r="O27" i="3" s="1"/>
  <c r="N10" i="3"/>
  <c r="O10" i="3" s="1"/>
  <c r="N11" i="3"/>
  <c r="O11" i="3" s="1"/>
</calcChain>
</file>

<file path=xl/sharedStrings.xml><?xml version="1.0" encoding="utf-8"?>
<sst xmlns="http://schemas.openxmlformats.org/spreadsheetml/2006/main" count="210" uniqueCount="140">
  <si>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</si>
  <si>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</si>
  <si>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</si>
  <si>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</si>
  <si>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</si>
  <si>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</si>
  <si>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</si>
  <si>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</si>
  <si>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</si>
  <si>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</si>
  <si>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</si>
  <si>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</si>
  <si>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</si>
  <si>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</si>
  <si>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</si>
  <si>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</si>
  <si>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</si>
  <si>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</si>
  <si>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</si>
  <si>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</si>
  <si>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D2500203</t>
  </si>
  <si>
    <t>1</t>
  </si>
  <si>
    <t>FilterBoardTemplate.PrjPcb</t>
  </si>
  <si>
    <t>Daniel Sigg</t>
  </si>
  <si>
    <t>10/17/2025</t>
  </si>
  <si>
    <t>12:24 PM</t>
  </si>
  <si>
    <t>Quantity</t>
  </si>
  <si>
    <t>Manufacturer 1</t>
  </si>
  <si>
    <t>Analog Devices</t>
  </si>
  <si>
    <t>Samsung Electro-Mechanics</t>
  </si>
  <si>
    <t>Yageo Group</t>
  </si>
  <si>
    <t>TE Connectivity</t>
  </si>
  <si>
    <t>Panasonic</t>
  </si>
  <si>
    <t>Vishay</t>
  </si>
  <si>
    <t>Keystone</t>
  </si>
  <si>
    <t>Manufacturer Part Number 1</t>
  </si>
  <si>
    <t>ADG1404YRUZ-REEL7</t>
  </si>
  <si>
    <t>CL21B105KBFNFNE</t>
  </si>
  <si>
    <t>CC0805JRNPO9BN680</t>
  </si>
  <si>
    <t>AD8672ARZ-REEL7</t>
  </si>
  <si>
    <t>5747842-6</t>
  </si>
  <si>
    <t>LT1125CSW#PBF</t>
  </si>
  <si>
    <t>ERA-6AEB105V</t>
  </si>
  <si>
    <t>CRCW08050000Z0EA</t>
  </si>
  <si>
    <t>ERA-6AEB302V</t>
  </si>
  <si>
    <t>ERA6AEB152V</t>
  </si>
  <si>
    <t>ERA-6AEB4991V</t>
  </si>
  <si>
    <t>ERA-6AEB49R9V</t>
  </si>
  <si>
    <t>ERA6AEB3320V</t>
  </si>
  <si>
    <t>ERA-6AEB4992V</t>
  </si>
  <si>
    <t>OP27GSZ-REEL7</t>
  </si>
  <si>
    <t>Supplier 1</t>
  </si>
  <si>
    <t>DigiKey</t>
  </si>
  <si>
    <t>None</t>
  </si>
  <si>
    <t>Digikey</t>
  </si>
  <si>
    <t>Supplier Part Number 1</t>
  </si>
  <si>
    <t>505-ADG1404YRUZ-REEL7CT-ND</t>
  </si>
  <si>
    <t>1276-2928-1-ND</t>
  </si>
  <si>
    <t>311-1109-1-ND</t>
  </si>
  <si>
    <t>505-AD8672ARZ-REEL7CT-ND</t>
  </si>
  <si>
    <t>A32102-ND</t>
  </si>
  <si>
    <t>505-LT1125CSW#PBF-ND</t>
  </si>
  <si>
    <t>P1MDACT-ND</t>
  </si>
  <si>
    <t>541-0.0ACT-ND</t>
  </si>
  <si>
    <t/>
  </si>
  <si>
    <t>P3.0KDACT-ND</t>
  </si>
  <si>
    <t>P1.5KDACT-ND</t>
  </si>
  <si>
    <t>P4.99KDACT-ND</t>
  </si>
  <si>
    <t>P49.9DACT-ND</t>
  </si>
  <si>
    <t>P332DACT-ND</t>
  </si>
  <si>
    <t>P49.9KDACT-ND</t>
  </si>
  <si>
    <t>36-5006-ND</t>
  </si>
  <si>
    <t>36-5005-ND</t>
  </si>
  <si>
    <t>36-5007-ND</t>
  </si>
  <si>
    <t>36-5009-ND</t>
  </si>
  <si>
    <t>OP27GSZ-REEL7CT-ND</t>
  </si>
  <si>
    <t>Name</t>
  </si>
  <si>
    <t>ADG1404Y</t>
  </si>
  <si>
    <t>1u</t>
  </si>
  <si>
    <t>68p</t>
  </si>
  <si>
    <t>AD8672ARZ</t>
  </si>
  <si>
    <t>DB25M</t>
  </si>
  <si>
    <t>LT1125CSW</t>
  </si>
  <si>
    <t>1M</t>
  </si>
  <si>
    <t>0</t>
  </si>
  <si>
    <t>NL</t>
  </si>
  <si>
    <t>3.0K</t>
  </si>
  <si>
    <t>1.5K</t>
  </si>
  <si>
    <t>4.99K</t>
  </si>
  <si>
    <t>49.9</t>
  </si>
  <si>
    <t>332</t>
  </si>
  <si>
    <t>49.9K</t>
  </si>
  <si>
    <t>Testpoint</t>
  </si>
  <si>
    <t>OP27</t>
  </si>
  <si>
    <t>Description</t>
  </si>
  <si>
    <t>4:1, Multiplexer</t>
  </si>
  <si>
    <t>Capacitor, surface mount</t>
  </si>
  <si>
    <t>High-Speed, Low-Power Dual Operational Amplifier</t>
  </si>
  <si>
    <t>Plug Assembly, 25 Position, Right Angle, .318 Series</t>
  </si>
  <si>
    <t>Quad Low Noise, High-Speed Precision Operational Amplifier</t>
  </si>
  <si>
    <t>Resistor, surface mount</t>
  </si>
  <si>
    <t>Testpoint, black</t>
  </si>
  <si>
    <t>Testpoint, red</t>
  </si>
  <si>
    <t>Testpoint, white</t>
  </si>
  <si>
    <t>Testpoint, yellow</t>
  </si>
  <si>
    <t>Video Operational Amplifier</t>
  </si>
  <si>
    <t>Designator</t>
  </si>
  <si>
    <t>U4_F1, U4_F2, U4_F3, U4_F4</t>
  </si>
  <si>
    <t>C2_F1, C2_F2, C2_F3, C2_F4, C3_F1, C3_F2, C3_F3, C3_F4, C6_F1, C6_F2, C6_F3, C6_F4, C7_F1, C7_F2, C7_F3, C7_F4, C21_G11, C21_G12, C21_G13, C21_G14, C21_G21, C21_G22, C21_G23, C21_G24, C22_G11, C22_G12, C22_G13, C22_G14, C22_G21, C22_G22, C22_G23, C22_G24, C27_F1, C27_F2, C27_F3, C27_F4, C28_F1, C28_F2, C28_F3, C28_F4, C29_F1, C29_F2, C29_F3, C29_F4, C30_F1, C30_F2, C30_F3, C30_F4</t>
  </si>
  <si>
    <t>C24_G11, C24_G12, C24_G13, C24_G14, C24_G21, C24_G22, C24_G23, C24_G24, C31_F1, C31_F2, C31_F3, C31_F4</t>
  </si>
  <si>
    <t>U2_F1, U2_F2, U2_F3, U2_F4</t>
  </si>
  <si>
    <t>P1</t>
  </si>
  <si>
    <t>U1_F1, U1_F2, U1_F3, U1_F4</t>
  </si>
  <si>
    <t>R1_F1, R1_F2, R1_F3, R1_F4, R2_F1, R2_F2, R2_F3, R2_F4</t>
  </si>
  <si>
    <t>R3_F1, R3_F2, R3_F3, R3_F4, R4_F1, R4_F2, R4_F3, R4_F4, R6_F1, R6_F2, R6_F3, R6_F4, R7_F1, R7_F2, R7_F3, R7_F4, R16_F1, R16_F2, R16_F3, R16_F4, R17_F1, R17_F2, R17_F3, R17_F4, R18_G11, R18_G12, R18_G13, R18_G14, R18_G21, R18_G22, R18_G23, R18_G24, R20_G11, R20_G12, R20_G13, R20_G14, R20_G21, R20_G22, R20_G23, R20_G24, R24_G11, R24_G12, R24_G13, R24_G14, R24_G21, R24_G22, R24_G23, R24_G24, R26_G11, R26_G12, R26_G13, R26_G14, R26_G21, R26_G22, R26_G23, R26_G24, R27_G11, R27_G12, R27_G13, R27_G14, R27_G21, R27_G22, R27_G23, R27_G24, R28_G11, R28_G12, R28_G13, R28_G14, R28_G21, R28_G22, R28_G23, R28_G24, R30_G11, R30_G12, R30_G13, R30_G14, R30_G21, R30_G22, R30_G23, R30_G24</t>
  </si>
  <si>
    <t>R5_F1, R5_F2, R5_F3, R5_F4, R37_F1, R37_F2, R37_F3, R37_F4</t>
  </si>
  <si>
    <t>R8_F1, R8_F2, R8_F3, R8_F4, R9_F1, R9_F2, R9_F3, R9_F4, R36_F1, R36_F2, R36_F3, R36_F4</t>
  </si>
  <si>
    <t>R10_F1, R10_F2, R10_F3, R10_F4, R11_F1, R11_F2, R11_F3, R11_F4</t>
  </si>
  <si>
    <t>R12_F1, R12_F2, R12_F3, R12_F4, R13_F1, R13_F2, R13_F3, R13_F4, R14_F1, R14_F2, R14_F3, R14_F4, R15_F1, R15_F2, R15_F3, R15_F4, R35_F1, R35_F2, R35_F3, R35_F4, R38, R39</t>
  </si>
  <si>
    <t>R31_F1, R31_F2, R31_F3, R31_F4, R32_F1, R32_F2, R32_F3, R32_F4</t>
  </si>
  <si>
    <t>R33_F1, R33_F2, R33_F3, R33_F4</t>
  </si>
  <si>
    <t>R34_F1, R34_F2, R34_F3, R34_F4</t>
  </si>
  <si>
    <t>TP2, TP3, TP4</t>
  </si>
  <si>
    <t>TP1, TP11</t>
  </si>
  <si>
    <t>TP5</t>
  </si>
  <si>
    <t>TP6_F1, TP6_F2, TP6_F3, TP6_F4, TP7_F1, TP7_F2, TP7_F3, TP7_F4, TP8_F1, TP8_F2, TP8_F3, TP8_F4, TP9_F1, TP9_F2, TP9_F3, TP9_F4, TP10_F1, TP10_F2, TP10_F3, TP10_F4, TP12_F1, TP12_F2, TP12_F3, TP12_F4</t>
  </si>
  <si>
    <t>U3_G11, U3_G12, U3_G13, U3_G14, U3_G21, U3_G22, U3_G23, U3_G24, U5_F1, U5_F2, U5_F3, U5_F4</t>
  </si>
  <si>
    <t>Footprint</t>
  </si>
  <si>
    <t>SOP65P640X120-14N</t>
  </si>
  <si>
    <t>CC2013-0805</t>
  </si>
  <si>
    <t>SO-G8</t>
  </si>
  <si>
    <t>DB25M-RA</t>
  </si>
  <si>
    <t>SO-G16W</t>
  </si>
  <si>
    <t>CR2012-0805</t>
  </si>
  <si>
    <t>TP1-BLK</t>
  </si>
  <si>
    <t>TP1-RED</t>
  </si>
  <si>
    <t>TP1-WHT</t>
  </si>
  <si>
    <t>TP1-YLW</t>
  </si>
  <si>
    <t>Assembly Type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</si>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</sst>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10" fillId="2" borderId="5" xfId="0" applyFont="1" applyFill="1" applyBorder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1" fontId="15" fillId="3" borderId="2" xfId="0" applyNumberFormat="1" applyFont="1" applyFill="1" applyBorder="1" applyAlignment="1">
      <alignment horizontal="center" vertical="top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</cellXfs>
  <cellStyles count="1">
    <cellStyle name="Normal" xfId="0" builtinId="0"/>
  </cellStyles>
  <dxfs count="20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O30" totalsRowShown="0" headerRowDxfId="19" dataDxfId="17" headerRowBorderDxfId="18" tableBorderDxfId="16">
  <autoFilter ref="B9:O30" xr:uid="{00000000-0009-0000-0100-000002000000}"/>
  <tableColumns count="14">
    <tableColumn id="1" xr3:uid="{00000000-0010-0000-0000-000001000000}" name="Quantity" dataDxfId="15"/>
    <tableColumn id="13" xr3:uid="{E63D2325-985C-42DA-B8D6-1DEE83CC2C12}" name="Manufacturer 1" dataDxfId="14"/>
    <tableColumn id="14" xr3:uid="{99B152BA-3BCD-4256-B3DD-EB9E28C53A85}" name="Manufacturer Part Number 1" dataDxfId="13"/>
    <tableColumn id="2" xr3:uid="{00000000-0010-0000-0000-000002000000}" name="Supplier 1" dataDxfId="12"/>
    <tableColumn id="3" xr3:uid="{00000000-0010-0000-0000-000003000000}" name="Supplier Part Number 1" dataDxfId="11"/>
    <tableColumn id="4" xr3:uid="{00000000-0010-0000-0000-000004000000}" name="Name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40"/>
  <sheetViews>
    <sheetView showGridLines="0" tabSelected="1" zoomScaleNormal="100" workbookViewId="0">
      <selection activeCell="H22" sqref="H22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4" width="23.1796875" style="3" customWidth="1"/>
    <col min="5" max="5" width="18.54296875" style="3" customWidth="1"/>
    <col min="6" max="6" width="24.81640625" style="1" customWidth="1"/>
    <col min="7" max="7" width="18" style="1" customWidth="1"/>
    <col min="8" max="8" width="30.7265625" style="1" customWidth="1"/>
    <col min="9" max="9" width="74.54296875" style="1" customWidth="1"/>
    <col min="10" max="10" width="17.26953125" style="1" customWidth="1"/>
    <col min="11" max="11" width="5.453125" style="1" customWidth="1"/>
    <col min="12" max="12" width="7" style="1" customWidth="1"/>
    <col min="13" max="13" width="8.7265625" style="1" customWidth="1"/>
    <col min="14" max="14" width="6.7265625" style="1" customWidth="1"/>
    <col min="15" max="15" width="12.54296875" style="1" customWidth="1"/>
    <col min="16" max="16384" width="9.1796875" style="1"/>
  </cols>
  <sheetData>
    <row r="1" spans="1:15" ht="4.5" customHeight="1" thickBot="1" x14ac:dyDescent="0.3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5" ht="37.5" customHeight="1" x14ac:dyDescent="0.25">
      <c r="A2" s="13"/>
      <c r="B2" s="25" t="s">
        <v>14</v>
      </c>
      <c r="C2" s="38"/>
      <c r="D2" s="38"/>
      <c r="E2" s="26"/>
      <c r="F2" s="18"/>
      <c r="G2" s="22" t="s">
        <v>13</v>
      </c>
      <c r="H2" s="18"/>
      <c r="I2" s="58" t="s">
        <v>20</v>
      </c>
      <c r="J2" s="22" t="s">
        <v>12</v>
      </c>
      <c r="K2" s="59" t="s">
        <v>21</v>
      </c>
      <c r="L2" s="23"/>
      <c r="M2" s="23"/>
      <c r="N2" s="23"/>
      <c r="O2" s="19"/>
    </row>
    <row r="3" spans="1:15" ht="23.25" customHeight="1" x14ac:dyDescent="0.35">
      <c r="A3" s="13"/>
      <c r="B3" s="12"/>
      <c r="C3" s="12"/>
      <c r="D3" s="12"/>
      <c r="E3" s="5"/>
      <c r="F3" s="17"/>
      <c r="G3" s="4"/>
      <c r="H3" s="4"/>
      <c r="I3" s="4"/>
      <c r="J3" s="4"/>
      <c r="O3" s="24"/>
    </row>
    <row r="4" spans="1:15" ht="17.25" customHeight="1" x14ac:dyDescent="0.35">
      <c r="A4" s="13"/>
      <c r="B4" s="12" t="s">
        <v>0</v>
      </c>
      <c r="C4" s="12"/>
      <c r="D4" s="12"/>
      <c r="E4" s="5"/>
      <c r="F4" s="60" t="s">
        <v>22</v>
      </c>
      <c r="G4" s="8"/>
      <c r="H4" s="6"/>
      <c r="I4" s="51" t="s">
        <v>15</v>
      </c>
      <c r="J4" s="52"/>
      <c r="K4" s="61" t="s">
        <v>21</v>
      </c>
      <c r="L4" s="37"/>
      <c r="M4" s="37"/>
      <c r="N4" s="37"/>
      <c r="O4" s="24"/>
    </row>
    <row r="5" spans="1:15" ht="17.25" customHeight="1" x14ac:dyDescent="0.35">
      <c r="A5" s="13"/>
      <c r="B5" s="12" t="s">
        <v>11</v>
      </c>
      <c r="C5" s="12"/>
      <c r="D5" s="12"/>
      <c r="E5" s="5"/>
      <c r="F5" s="62" t="s">
        <v>23</v>
      </c>
      <c r="G5" s="15"/>
      <c r="H5" s="6"/>
      <c r="I5" s="6"/>
      <c r="J5" s="6"/>
      <c r="O5" s="24"/>
    </row>
    <row r="6" spans="1:15" ht="13" x14ac:dyDescent="0.3">
      <c r="A6" s="13"/>
      <c r="B6" s="9"/>
      <c r="C6" s="9"/>
      <c r="D6" s="9"/>
      <c r="E6" s="7"/>
      <c r="F6" s="10"/>
      <c r="G6" s="8"/>
      <c r="H6" s="6"/>
      <c r="I6" s="6"/>
      <c r="J6" s="6"/>
      <c r="O6" s="24"/>
    </row>
    <row r="7" spans="1:15" ht="15.75" customHeight="1" x14ac:dyDescent="0.25">
      <c r="A7" s="13"/>
      <c r="B7" s="11" t="s">
        <v>2</v>
      </c>
      <c r="C7" s="11"/>
      <c r="D7" s="11"/>
      <c r="F7" s="63" t="s">
        <v>24</v>
      </c>
      <c r="G7" s="63" t="s">
        <v>25</v>
      </c>
      <c r="H7" s="11"/>
      <c r="I7" s="11"/>
      <c r="J7" s="11"/>
      <c r="O7" s="24"/>
    </row>
    <row r="8" spans="1:15" ht="15.75" customHeight="1" x14ac:dyDescent="0.25">
      <c r="A8" s="13"/>
      <c r="B8" s="6" t="s">
        <v>1</v>
      </c>
      <c r="C8" s="6"/>
      <c r="D8" s="6"/>
      <c r="F8" s="32">
        <f ca="1">TODAY()</f>
        <v>45947</v>
      </c>
      <c r="G8" s="53">
        <f ca="1">NOW()</f>
        <v>45947.517372453702</v>
      </c>
      <c r="H8" s="54"/>
      <c r="I8" s="11"/>
      <c r="J8" s="11"/>
      <c r="O8" s="24"/>
    </row>
    <row r="9" spans="1:15" s="2" customFormat="1" ht="24.75" customHeight="1" x14ac:dyDescent="0.25">
      <c r="A9" s="13"/>
      <c r="B9" s="39" t="s">
        <v>26</v>
      </c>
      <c r="C9" s="41" t="s">
        <v>27</v>
      </c>
      <c r="D9" s="41" t="s">
        <v>35</v>
      </c>
      <c r="E9" s="40" t="s">
        <v>51</v>
      </c>
      <c r="F9" s="40" t="s">
        <v>55</v>
      </c>
      <c r="G9" s="40" t="s">
        <v>76</v>
      </c>
      <c r="H9" s="40" t="s">
        <v>94</v>
      </c>
      <c r="I9" s="41" t="s">
        <v>106</v>
      </c>
      <c r="J9" s="40" t="s">
        <v>127</v>
      </c>
      <c r="K9" s="40" t="s">
        <v>138</v>
      </c>
      <c r="L9" s="41" t="s">
        <v>17</v>
      </c>
      <c r="M9" s="41" t="s">
        <v>18</v>
      </c>
      <c r="N9" s="41" t="s">
        <v>19</v>
      </c>
      <c r="O9" s="41" t="s">
        <v>10</v>
      </c>
    </row>
    <row r="10" spans="1:15" s="2" customFormat="1" ht="13" x14ac:dyDescent="0.25">
      <c r="A10" s="13"/>
      <c r="B10" s="46">
        <v>4</v>
      </c>
      <c r="C10" s="46" t="s">
        <v>28</v>
      </c>
      <c r="D10" s="46" t="s">
        <v>36</v>
      </c>
      <c r="E10" s="47" t="s">
        <v>52</v>
      </c>
      <c r="F10" s="47" t="s">
        <v>56</v>
      </c>
      <c r="G10" s="47" t="s">
        <v>77</v>
      </c>
      <c r="H10" s="47" t="s">
        <v>95</v>
      </c>
      <c r="I10" s="47" t="s">
        <v>107</v>
      </c>
      <c r="J10" s="47" t="s">
        <v>128</v>
      </c>
      <c r="K10" s="47"/>
      <c r="L10" s="49">
        <f>+IF(OR(K10="BGA",K10="FP",K10="TH"),1,IF($K$4*B10&lt;100,5,0))</f>
        <v>5</v>
      </c>
      <c r="M10" s="48">
        <f>+IF(AND(K10="",$K$4*B10&gt;100),0.05,0)</f>
        <v>0</v>
      </c>
      <c r="N10" s="49">
        <f>+ROUNDUP($K$4*B10*M10+L10,0)</f>
        <v>5</v>
      </c>
      <c r="O10" s="42">
        <f>+IF(OR(LEFT(I10&amp;"",1)="C",LEFT(I10&amp;"",1)="R"),ROUNDUP($K$4*B10+N10,-1),$K$4*B10+N10)</f>
        <v>9</v>
      </c>
    </row>
    <row r="11" spans="1:15" s="2" customFormat="1" ht="50.5" x14ac:dyDescent="0.25">
      <c r="A11" s="13"/>
      <c r="B11" s="46">
        <v>48</v>
      </c>
      <c r="C11" s="46" t="s">
        <v>29</v>
      </c>
      <c r="D11" s="46" t="s">
        <v>37</v>
      </c>
      <c r="E11" s="47" t="s">
        <v>52</v>
      </c>
      <c r="F11" s="47" t="s">
        <v>57</v>
      </c>
      <c r="G11" s="47" t="s">
        <v>78</v>
      </c>
      <c r="H11" s="47" t="s">
        <v>96</v>
      </c>
      <c r="I11" s="47" t="s">
        <v>108</v>
      </c>
      <c r="J11" s="47" t="s">
        <v>129</v>
      </c>
      <c r="K11" s="47" t="s">
        <v>64</v>
      </c>
      <c r="L11" s="49">
        <f t="shared" ref="L11:L29" si="0">+IF(OR(K11="BGA",K11="FP",K11="TH"),1,IF($K$4*B11&lt;100,5,0))</f>
        <v>5</v>
      </c>
      <c r="M11" s="48">
        <f t="shared" ref="M11:M29" si="1">+IF(AND(K11="",$K$4*B11&gt;100),0.05,0)</f>
        <v>0</v>
      </c>
      <c r="N11" s="49">
        <f t="shared" ref="N11:N29" si="2">+ROUNDUP($K$4*B11*M11+L11,0)</f>
        <v>5</v>
      </c>
      <c r="O11" s="42">
        <f t="shared" ref="O11:O29" si="3">+IF(OR(LEFT(I11&amp;"",1)="C",LEFT(I11&amp;"",1)="R"),ROUNDUP($K$4*B11+N11,-1),$K$4*B11+N11)</f>
        <v>60</v>
      </c>
    </row>
    <row r="12" spans="1:15" s="2" customFormat="1" ht="20.5" x14ac:dyDescent="0.25">
      <c r="A12" s="13"/>
      <c r="B12" s="46">
        <v>12</v>
      </c>
      <c r="C12" s="46" t="s">
        <v>30</v>
      </c>
      <c r="D12" s="46" t="s">
        <v>38</v>
      </c>
      <c r="E12" s="47" t="s">
        <v>52</v>
      </c>
      <c r="F12" s="47" t="s">
        <v>58</v>
      </c>
      <c r="G12" s="47" t="s">
        <v>79</v>
      </c>
      <c r="H12" s="47" t="s">
        <v>96</v>
      </c>
      <c r="I12" s="47" t="s">
        <v>109</v>
      </c>
      <c r="J12" s="47" t="s">
        <v>129</v>
      </c>
      <c r="K12" s="47" t="s">
        <v>64</v>
      </c>
      <c r="L12" s="49">
        <f>+IF(OR(K12="BGA",K12="FP",K12="TH"),1,IF($K$4*B12&lt;100,5,0))</f>
        <v>5</v>
      </c>
      <c r="M12" s="48">
        <f>+IF(AND(K12="",$K$4*B12&gt;100),0.05,0)</f>
        <v>0</v>
      </c>
      <c r="N12" s="49">
        <f>+ROUNDUP($K$4*B12*M12+L12,0)</f>
        <v>5</v>
      </c>
      <c r="O12" s="42">
        <f>+IF(OR(LEFT(I12&amp;"",1)="C",LEFT(I12&amp;"",1)="R"),ROUNDUP($K$4*B12+N12,-1),$K$4*B12+N12)</f>
        <v>20</v>
      </c>
    </row>
    <row r="13" spans="1:15" s="2" customFormat="1" ht="20.5" x14ac:dyDescent="0.25">
      <c r="A13" s="13"/>
      <c r="B13" s="46">
        <v>4</v>
      </c>
      <c r="C13" s="46" t="s">
        <v>28</v>
      </c>
      <c r="D13" s="46" t="s">
        <v>39</v>
      </c>
      <c r="E13" s="47" t="s">
        <v>52</v>
      </c>
      <c r="F13" s="47" t="s">
        <v>59</v>
      </c>
      <c r="G13" s="47" t="s">
        <v>80</v>
      </c>
      <c r="H13" s="47" t="s">
        <v>97</v>
      </c>
      <c r="I13" s="47" t="s">
        <v>110</v>
      </c>
      <c r="J13" s="47" t="s">
        <v>130</v>
      </c>
      <c r="K13" s="47" t="s">
        <v>64</v>
      </c>
      <c r="L13" s="49">
        <f t="shared" ref="L13" si="4">+IF(OR(K13="BGA",K13="FP",K13="TH"),1,IF($K$4*B13&lt;100,5,0))</f>
        <v>5</v>
      </c>
      <c r="M13" s="48">
        <f t="shared" ref="M13" si="5">+IF(AND(K13="",$K$4*B13&gt;100),0.05,0)</f>
        <v>0</v>
      </c>
      <c r="N13" s="49">
        <f t="shared" ref="N13" si="6">+ROUNDUP($K$4*B13*M13+L13,0)</f>
        <v>5</v>
      </c>
      <c r="O13" s="42">
        <f t="shared" ref="O13" si="7">+IF(OR(LEFT(I13&amp;"",1)="C",LEFT(I13&amp;"",1)="R"),ROUNDUP($K$4*B13+N13,-1),$K$4*B13+N13)</f>
        <v>9</v>
      </c>
    </row>
    <row r="14" spans="1:15" s="2" customFormat="1" ht="20.5" x14ac:dyDescent="0.25">
      <c r="A14" s="13"/>
      <c r="B14" s="46">
        <v>1</v>
      </c>
      <c r="C14" s="46" t="s">
        <v>31</v>
      </c>
      <c r="D14" s="46" t="s">
        <v>40</v>
      </c>
      <c r="E14" s="47" t="s">
        <v>52</v>
      </c>
      <c r="F14" s="47" t="s">
        <v>60</v>
      </c>
      <c r="G14" s="47" t="s">
        <v>81</v>
      </c>
      <c r="H14" s="47" t="s">
        <v>98</v>
      </c>
      <c r="I14" s="47" t="s">
        <v>111</v>
      </c>
      <c r="J14" s="47" t="s">
        <v>131</v>
      </c>
      <c r="K14" s="47" t="s">
        <v>139</v>
      </c>
      <c r="L14" s="49">
        <f>+IF(OR(K14="BGA",K14="FP",K14="TH"),1,IF($K$4*B14&lt;100,5,0))</f>
        <v>1</v>
      </c>
      <c r="M14" s="48">
        <f>+IF(AND(K14="",$K$4*B14&gt;100),0.05,0)</f>
        <v>0</v>
      </c>
      <c r="N14" s="49">
        <f>+ROUNDUP($K$4*B14*M14+L14,0)</f>
        <v>1</v>
      </c>
      <c r="O14" s="42">
        <f>+IF(OR(LEFT(I14&amp;"",1)="C",LEFT(I14&amp;"",1)="R"),ROUNDUP($K$4*B14+N14,-1),$K$4*B14+N14)</f>
        <v>2</v>
      </c>
    </row>
    <row r="15" spans="1:15" s="2" customFormat="1" ht="20.5" x14ac:dyDescent="0.25">
      <c r="A15" s="13"/>
      <c r="B15" s="46">
        <v>4</v>
      </c>
      <c r="C15" s="46" t="s">
        <v>28</v>
      </c>
      <c r="D15" s="46" t="s">
        <v>41</v>
      </c>
      <c r="E15" s="47" t="s">
        <v>52</v>
      </c>
      <c r="F15" s="47" t="s">
        <v>61</v>
      </c>
      <c r="G15" s="47" t="s">
        <v>82</v>
      </c>
      <c r="H15" s="47" t="s">
        <v>99</v>
      </c>
      <c r="I15" s="47" t="s">
        <v>112</v>
      </c>
      <c r="J15" s="47" t="s">
        <v>132</v>
      </c>
      <c r="K15" s="47" t="s">
        <v>64</v>
      </c>
      <c r="L15" s="49">
        <f t="shared" ref="L15:L17" si="8">+IF(OR(K15="BGA",K15="FP",K15="TH"),1,IF($K$4*B15&lt;100,5,0))</f>
        <v>5</v>
      </c>
      <c r="M15" s="48">
        <f t="shared" ref="M15:M17" si="9">+IF(AND(K15="",$K$4*B15&gt;100),0.05,0)</f>
        <v>0</v>
      </c>
      <c r="N15" s="49">
        <f t="shared" ref="N15:N17" si="10">+ROUNDUP($K$4*B15*M15+L15,0)</f>
        <v>5</v>
      </c>
      <c r="O15" s="42">
        <f t="shared" ref="O15:O17" si="11">+IF(OR(LEFT(I15&amp;"",1)="C",LEFT(I15&amp;"",1)="R"),ROUNDUP($K$4*B15+N15,-1),$K$4*B15+N15)</f>
        <v>9</v>
      </c>
    </row>
    <row r="16" spans="1:15" s="2" customFormat="1" ht="13" x14ac:dyDescent="0.25">
      <c r="A16" s="13"/>
      <c r="B16" s="46">
        <v>8</v>
      </c>
      <c r="C16" s="46" t="s">
        <v>32</v>
      </c>
      <c r="D16" s="46" t="s">
        <v>42</v>
      </c>
      <c r="E16" s="47" t="s">
        <v>52</v>
      </c>
      <c r="F16" s="47" t="s">
        <v>62</v>
      </c>
      <c r="G16" s="47" t="s">
        <v>83</v>
      </c>
      <c r="H16" s="47" t="s">
        <v>100</v>
      </c>
      <c r="I16" s="47" t="s">
        <v>113</v>
      </c>
      <c r="J16" s="47" t="s">
        <v>133</v>
      </c>
      <c r="K16" s="47" t="s">
        <v>64</v>
      </c>
      <c r="L16" s="49">
        <f>+IF(OR(K16="BGA",K16="FP",K16="TH"),1,IF($K$4*B16&lt;100,5,0))</f>
        <v>5</v>
      </c>
      <c r="M16" s="48">
        <f>+IF(AND(K16="",$K$4*B16&gt;100),0.05,0)</f>
        <v>0</v>
      </c>
      <c r="N16" s="49">
        <f>+ROUNDUP($K$4*B16*M16+L16,0)</f>
        <v>5</v>
      </c>
      <c r="O16" s="42">
        <f>+IF(OR(LEFT(I16&amp;"",1)="C",LEFT(I16&amp;"",1)="R"),ROUNDUP($K$4*B16+N16,-1),$K$4*B16+N16)</f>
        <v>20</v>
      </c>
    </row>
    <row r="17" spans="1:15" s="2" customFormat="1" ht="80.5" x14ac:dyDescent="0.25">
      <c r="A17" s="13"/>
      <c r="B17" s="46">
        <v>80</v>
      </c>
      <c r="C17" s="46" t="s">
        <v>33</v>
      </c>
      <c r="D17" s="46" t="s">
        <v>43</v>
      </c>
      <c r="E17" s="47" t="s">
        <v>52</v>
      </c>
      <c r="F17" s="47" t="s">
        <v>63</v>
      </c>
      <c r="G17" s="47" t="s">
        <v>84</v>
      </c>
      <c r="H17" s="47" t="s">
        <v>100</v>
      </c>
      <c r="I17" s="47" t="s">
        <v>114</v>
      </c>
      <c r="J17" s="47" t="s">
        <v>133</v>
      </c>
      <c r="K17" s="47" t="s">
        <v>64</v>
      </c>
      <c r="L17" s="49">
        <f t="shared" ref="L17" si="12">+IF(OR(K17="BGA",K17="FP",K17="TH"),1,IF($K$4*B17&lt;100,5,0))</f>
        <v>5</v>
      </c>
      <c r="M17" s="48">
        <f t="shared" ref="M17" si="13">+IF(AND(K17="",$K$4*B17&gt;100),0.05,0)</f>
        <v>0</v>
      </c>
      <c r="N17" s="49">
        <f t="shared" ref="N17" si="14">+ROUNDUP($K$4*B17*M17+L17,0)</f>
        <v>5</v>
      </c>
      <c r="O17" s="42">
        <f t="shared" ref="O17" si="15">+IF(OR(LEFT(I17&amp;"",1)="C",LEFT(I17&amp;"",1)="R"),ROUNDUP($K$4*B17+N17,-1),$K$4*B17+N17)</f>
        <v>90</v>
      </c>
    </row>
    <row r="18" spans="1:15" s="2" customFormat="1" ht="13" x14ac:dyDescent="0.25">
      <c r="A18" s="13"/>
      <c r="B18" s="46">
        <v>8</v>
      </c>
      <c r="C18" s="46"/>
      <c r="D18" s="46"/>
      <c r="E18" s="47" t="s">
        <v>53</v>
      </c>
      <c r="F18" s="47" t="s">
        <v>64</v>
      </c>
      <c r="G18" s="47" t="s">
        <v>85</v>
      </c>
      <c r="H18" s="47" t="s">
        <v>100</v>
      </c>
      <c r="I18" s="47" t="s">
        <v>115</v>
      </c>
      <c r="J18" s="47" t="s">
        <v>133</v>
      </c>
      <c r="K18" s="47" t="s">
        <v>64</v>
      </c>
      <c r="L18" s="49">
        <f>+IF(OR(K18="BGA",K18="FP",K18="TH"),1,IF($K$4*B18&lt;100,5,0))</f>
        <v>5</v>
      </c>
      <c r="M18" s="48">
        <f>+IF(AND(K18="",$K$4*B18&gt;100),0.05,0)</f>
        <v>0</v>
      </c>
      <c r="N18" s="49">
        <f>+ROUNDUP($K$4*B18*M18+L18,0)</f>
        <v>5</v>
      </c>
      <c r="O18" s="42">
        <f>+IF(OR(LEFT(I18&amp;"",1)="C",LEFT(I18&amp;"",1)="R"),ROUNDUP($K$4*B18+N18,-1),$K$4*B18+N18)</f>
        <v>20</v>
      </c>
    </row>
    <row r="19" spans="1:15" s="2" customFormat="1" ht="13" x14ac:dyDescent="0.25">
      <c r="A19" s="13"/>
      <c r="B19" s="46">
        <v>12</v>
      </c>
      <c r="C19" s="46" t="s">
        <v>32</v>
      </c>
      <c r="D19" s="46" t="s">
        <v>44</v>
      </c>
      <c r="E19" s="47" t="s">
        <v>52</v>
      </c>
      <c r="F19" s="47" t="s">
        <v>65</v>
      </c>
      <c r="G19" s="47" t="s">
        <v>86</v>
      </c>
      <c r="H19" s="47" t="s">
        <v>100</v>
      </c>
      <c r="I19" s="47" t="s">
        <v>116</v>
      </c>
      <c r="J19" s="47" t="s">
        <v>133</v>
      </c>
      <c r="K19" s="47" t="s">
        <v>64</v>
      </c>
      <c r="L19" s="49">
        <f t="shared" ref="L19:L25" si="16">+IF(OR(K19="BGA",K19="FP",K19="TH"),1,IF($K$4*B19&lt;100,5,0))</f>
        <v>5</v>
      </c>
      <c r="M19" s="48">
        <f t="shared" ref="M19:M25" si="17">+IF(AND(K19="",$K$4*B19&gt;100),0.05,0)</f>
        <v>0</v>
      </c>
      <c r="N19" s="49">
        <f t="shared" ref="N19:N25" si="18">+ROUNDUP($K$4*B19*M19+L19,0)</f>
        <v>5</v>
      </c>
      <c r="O19" s="42">
        <f t="shared" ref="O19:O25" si="19">+IF(OR(LEFT(I19&amp;"",1)="C",LEFT(I19&amp;"",1)="R"),ROUNDUP($K$4*B19+N19,-1),$K$4*B19+N19)</f>
        <v>20</v>
      </c>
    </row>
    <row r="20" spans="1:15" s="2" customFormat="1" ht="13" x14ac:dyDescent="0.25">
      <c r="A20" s="13"/>
      <c r="B20" s="46">
        <v>8</v>
      </c>
      <c r="C20" s="46" t="s">
        <v>32</v>
      </c>
      <c r="D20" s="46" t="s">
        <v>45</v>
      </c>
      <c r="E20" s="47" t="s">
        <v>52</v>
      </c>
      <c r="F20" s="47" t="s">
        <v>66</v>
      </c>
      <c r="G20" s="47" t="s">
        <v>87</v>
      </c>
      <c r="H20" s="47" t="s">
        <v>100</v>
      </c>
      <c r="I20" s="47" t="s">
        <v>117</v>
      </c>
      <c r="J20" s="47" t="s">
        <v>133</v>
      </c>
      <c r="K20" s="47" t="s">
        <v>64</v>
      </c>
      <c r="L20" s="49">
        <f>+IF(OR(K20="BGA",K20="FP",K20="TH"),1,IF($K$4*B20&lt;100,5,0))</f>
        <v>5</v>
      </c>
      <c r="M20" s="48">
        <f>+IF(AND(K20="",$K$4*B20&gt;100),0.05,0)</f>
        <v>0</v>
      </c>
      <c r="N20" s="49">
        <f>+ROUNDUP($K$4*B20*M20+L20,0)</f>
        <v>5</v>
      </c>
      <c r="O20" s="42">
        <f>+IF(OR(LEFT(I20&amp;"",1)="C",LEFT(I20&amp;"",1)="R"),ROUNDUP($K$4*B20+N20,-1),$K$4*B20+N20)</f>
        <v>20</v>
      </c>
    </row>
    <row r="21" spans="1:15" s="2" customFormat="1" ht="20.5" x14ac:dyDescent="0.25">
      <c r="A21" s="13"/>
      <c r="B21" s="46">
        <v>22</v>
      </c>
      <c r="C21" s="46" t="s">
        <v>32</v>
      </c>
      <c r="D21" s="46" t="s">
        <v>46</v>
      </c>
      <c r="E21" s="47" t="s">
        <v>54</v>
      </c>
      <c r="F21" s="47" t="s">
        <v>67</v>
      </c>
      <c r="G21" s="47" t="s">
        <v>88</v>
      </c>
      <c r="H21" s="47" t="s">
        <v>100</v>
      </c>
      <c r="I21" s="47" t="s">
        <v>118</v>
      </c>
      <c r="J21" s="47" t="s">
        <v>133</v>
      </c>
      <c r="K21" s="47" t="s">
        <v>64</v>
      </c>
      <c r="L21" s="49">
        <f t="shared" ref="L21" si="20">+IF(OR(K21="BGA",K21="FP",K21="TH"),1,IF($K$4*B21&lt;100,5,0))</f>
        <v>5</v>
      </c>
      <c r="M21" s="48">
        <f t="shared" ref="M21" si="21">+IF(AND(K21="",$K$4*B21&gt;100),0.05,0)</f>
        <v>0</v>
      </c>
      <c r="N21" s="49">
        <f t="shared" ref="N21" si="22">+ROUNDUP($K$4*B21*M21+L21,0)</f>
        <v>5</v>
      </c>
      <c r="O21" s="42">
        <f t="shared" ref="O21" si="23">+IF(OR(LEFT(I21&amp;"",1)="C",LEFT(I21&amp;"",1)="R"),ROUNDUP($K$4*B21+N21,-1),$K$4*B21+N21)</f>
        <v>30</v>
      </c>
    </row>
    <row r="22" spans="1:15" s="2" customFormat="1" ht="13" x14ac:dyDescent="0.25">
      <c r="A22" s="13"/>
      <c r="B22" s="46">
        <v>8</v>
      </c>
      <c r="C22" s="46" t="s">
        <v>32</v>
      </c>
      <c r="D22" s="46" t="s">
        <v>47</v>
      </c>
      <c r="E22" s="47" t="s">
        <v>54</v>
      </c>
      <c r="F22" s="47" t="s">
        <v>68</v>
      </c>
      <c r="G22" s="47" t="s">
        <v>89</v>
      </c>
      <c r="H22" s="47" t="s">
        <v>100</v>
      </c>
      <c r="I22" s="47" t="s">
        <v>119</v>
      </c>
      <c r="J22" s="47" t="s">
        <v>133</v>
      </c>
      <c r="K22" s="47" t="s">
        <v>64</v>
      </c>
      <c r="L22" s="49">
        <f>+IF(OR(K22="BGA",K22="FP",K22="TH"),1,IF($K$4*B22&lt;100,5,0))</f>
        <v>5</v>
      </c>
      <c r="M22" s="48">
        <f>+IF(AND(K22="",$K$4*B22&gt;100),0.05,0)</f>
        <v>0</v>
      </c>
      <c r="N22" s="49">
        <f>+ROUNDUP($K$4*B22*M22+L22,0)</f>
        <v>5</v>
      </c>
      <c r="O22" s="42">
        <f>+IF(OR(LEFT(I22&amp;"",1)="C",LEFT(I22&amp;"",1)="R"),ROUNDUP($K$4*B22+N22,-1),$K$4*B22+N22)</f>
        <v>20</v>
      </c>
    </row>
    <row r="23" spans="1:15" s="2" customFormat="1" ht="13" x14ac:dyDescent="0.25">
      <c r="A23" s="13"/>
      <c r="B23" s="46">
        <v>4</v>
      </c>
      <c r="C23" s="46" t="s">
        <v>32</v>
      </c>
      <c r="D23" s="46" t="s">
        <v>48</v>
      </c>
      <c r="E23" s="47" t="s">
        <v>52</v>
      </c>
      <c r="F23" s="47" t="s">
        <v>69</v>
      </c>
      <c r="G23" s="47" t="s">
        <v>90</v>
      </c>
      <c r="H23" s="47" t="s">
        <v>100</v>
      </c>
      <c r="I23" s="47" t="s">
        <v>120</v>
      </c>
      <c r="J23" s="47" t="s">
        <v>133</v>
      </c>
      <c r="K23" s="47" t="s">
        <v>64</v>
      </c>
      <c r="L23" s="49">
        <f t="shared" ref="L23:L25" si="24">+IF(OR(K23="BGA",K23="FP",K23="TH"),1,IF($K$4*B23&lt;100,5,0))</f>
        <v>5</v>
      </c>
      <c r="M23" s="48">
        <f t="shared" ref="M23:M25" si="25">+IF(AND(K23="",$K$4*B23&gt;100),0.05,0)</f>
        <v>0</v>
      </c>
      <c r="N23" s="49">
        <f t="shared" ref="N23:N25" si="26">+ROUNDUP($K$4*B23*M23+L23,0)</f>
        <v>5</v>
      </c>
      <c r="O23" s="42">
        <f t="shared" ref="O23:O25" si="27">+IF(OR(LEFT(I23&amp;"",1)="C",LEFT(I23&amp;"",1)="R"),ROUNDUP($K$4*B23+N23,-1),$K$4*B23+N23)</f>
        <v>10</v>
      </c>
    </row>
    <row r="24" spans="1:15" s="2" customFormat="1" ht="13" x14ac:dyDescent="0.25">
      <c r="A24" s="13"/>
      <c r="B24" s="46">
        <v>4</v>
      </c>
      <c r="C24" s="46" t="s">
        <v>32</v>
      </c>
      <c r="D24" s="46" t="s">
        <v>49</v>
      </c>
      <c r="E24" s="47" t="s">
        <v>52</v>
      </c>
      <c r="F24" s="47" t="s">
        <v>70</v>
      </c>
      <c r="G24" s="47" t="s">
        <v>91</v>
      </c>
      <c r="H24" s="47" t="s">
        <v>100</v>
      </c>
      <c r="I24" s="47" t="s">
        <v>121</v>
      </c>
      <c r="J24" s="47" t="s">
        <v>133</v>
      </c>
      <c r="K24" s="47" t="s">
        <v>64</v>
      </c>
      <c r="L24" s="49">
        <f>+IF(OR(K24="BGA",K24="FP",K24="TH"),1,IF($K$4*B24&lt;100,5,0))</f>
        <v>5</v>
      </c>
      <c r="M24" s="48">
        <f>+IF(AND(K24="",$K$4*B24&gt;100),0.05,0)</f>
        <v>0</v>
      </c>
      <c r="N24" s="49">
        <f>+ROUNDUP($K$4*B24*M24+L24,0)</f>
        <v>5</v>
      </c>
      <c r="O24" s="42">
        <f>+IF(OR(LEFT(I24&amp;"",1)="C",LEFT(I24&amp;"",1)="R"),ROUNDUP($K$4*B24+N24,-1),$K$4*B24+N24)</f>
        <v>10</v>
      </c>
    </row>
    <row r="25" spans="1:15" s="2" customFormat="1" ht="13" x14ac:dyDescent="0.25">
      <c r="A25" s="13"/>
      <c r="B25" s="46">
        <v>3</v>
      </c>
      <c r="C25" s="46" t="s">
        <v>34</v>
      </c>
      <c r="D25" s="46">
        <v>5006</v>
      </c>
      <c r="E25" s="47" t="s">
        <v>52</v>
      </c>
      <c r="F25" s="47" t="s">
        <v>71</v>
      </c>
      <c r="G25" s="47" t="s">
        <v>92</v>
      </c>
      <c r="H25" s="47" t="s">
        <v>101</v>
      </c>
      <c r="I25" s="47" t="s">
        <v>122</v>
      </c>
      <c r="J25" s="47" t="s">
        <v>134</v>
      </c>
      <c r="K25" s="47" t="s">
        <v>139</v>
      </c>
      <c r="L25" s="49">
        <f t="shared" ref="L25" si="28">+IF(OR(K25="BGA",K25="FP",K25="TH"),1,IF($K$4*B25&lt;100,5,0))</f>
        <v>1</v>
      </c>
      <c r="M25" s="48">
        <f t="shared" ref="M25" si="29">+IF(AND(K25="",$K$4*B25&gt;100),0.05,0)</f>
        <v>0</v>
      </c>
      <c r="N25" s="49">
        <f t="shared" ref="N25" si="30">+ROUNDUP($K$4*B25*M25+L25,0)</f>
        <v>1</v>
      </c>
      <c r="O25" s="42">
        <f t="shared" ref="O25" si="31">+IF(OR(LEFT(I25&amp;"",1)="C",LEFT(I25&amp;"",1)="R"),ROUNDUP($K$4*B25+N25,-1),$K$4*B25+N25)</f>
        <v>4</v>
      </c>
    </row>
    <row r="26" spans="1:15" s="2" customFormat="1" ht="13" x14ac:dyDescent="0.25">
      <c r="A26" s="13"/>
      <c r="B26" s="46">
        <v>2</v>
      </c>
      <c r="C26" s="46" t="s">
        <v>34</v>
      </c>
      <c r="D26" s="46">
        <v>5005</v>
      </c>
      <c r="E26" s="47" t="s">
        <v>52</v>
      </c>
      <c r="F26" s="47" t="s">
        <v>72</v>
      </c>
      <c r="G26" s="47" t="s">
        <v>92</v>
      </c>
      <c r="H26" s="47" t="s">
        <v>102</v>
      </c>
      <c r="I26" s="47" t="s">
        <v>123</v>
      </c>
      <c r="J26" s="47" t="s">
        <v>135</v>
      </c>
      <c r="K26" s="47" t="s">
        <v>139</v>
      </c>
      <c r="L26" s="49">
        <f>+IF(OR(K26="BGA",K26="FP",K26="TH"),1,IF($K$4*B26&lt;100,5,0))</f>
        <v>1</v>
      </c>
      <c r="M26" s="48">
        <f>+IF(AND(K26="",$K$4*B26&gt;100),0.05,0)</f>
        <v>0</v>
      </c>
      <c r="N26" s="49">
        <f>+ROUNDUP($K$4*B26*M26+L26,0)</f>
        <v>1</v>
      </c>
      <c r="O26" s="42">
        <f>+IF(OR(LEFT(I26&amp;"",1)="C",LEFT(I26&amp;"",1)="R"),ROUNDUP($K$4*B26+N26,-1),$K$4*B26+N26)</f>
        <v>3</v>
      </c>
    </row>
    <row r="27" spans="1:15" s="2" customFormat="1" ht="13" x14ac:dyDescent="0.25">
      <c r="A27" s="13"/>
      <c r="B27" s="46">
        <v>1</v>
      </c>
      <c r="C27" s="46" t="s">
        <v>34</v>
      </c>
      <c r="D27" s="46">
        <v>5007</v>
      </c>
      <c r="E27" s="47" t="s">
        <v>52</v>
      </c>
      <c r="F27" s="47" t="s">
        <v>73</v>
      </c>
      <c r="G27" s="47" t="s">
        <v>92</v>
      </c>
      <c r="H27" s="47" t="s">
        <v>103</v>
      </c>
      <c r="I27" s="47" t="s">
        <v>124</v>
      </c>
      <c r="J27" s="47" t="s">
        <v>136</v>
      </c>
      <c r="K27" s="47" t="s">
        <v>139</v>
      </c>
      <c r="L27" s="49">
        <f t="shared" ref="L27:L29" si="32">+IF(OR(K27="BGA",K27="FP",K27="TH"),1,IF($K$4*B27&lt;100,5,0))</f>
        <v>1</v>
      </c>
      <c r="M27" s="48">
        <f t="shared" ref="M27:M29" si="33">+IF(AND(K27="",$K$4*B27&gt;100),0.05,0)</f>
        <v>0</v>
      </c>
      <c r="N27" s="49">
        <f t="shared" ref="N27:N29" si="34">+ROUNDUP($K$4*B27*M27+L27,0)</f>
        <v>1</v>
      </c>
      <c r="O27" s="42">
        <f t="shared" ref="O27:O29" si="35">+IF(OR(LEFT(I27&amp;"",1)="C",LEFT(I27&amp;"",1)="R"),ROUNDUP($K$4*B27+N27,-1),$K$4*B27+N27)</f>
        <v>2</v>
      </c>
    </row>
    <row r="28" spans="1:15" s="2" customFormat="1" ht="30.5" x14ac:dyDescent="0.25">
      <c r="A28" s="13"/>
      <c r="B28" s="46">
        <v>24</v>
      </c>
      <c r="C28" s="46" t="s">
        <v>34</v>
      </c>
      <c r="D28" s="46">
        <v>5009</v>
      </c>
      <c r="E28" s="47" t="s">
        <v>52</v>
      </c>
      <c r="F28" s="47" t="s">
        <v>74</v>
      </c>
      <c r="G28" s="47" t="s">
        <v>92</v>
      </c>
      <c r="H28" s="47" t="s">
        <v>104</v>
      </c>
      <c r="I28" s="47" t="s">
        <v>125</v>
      </c>
      <c r="J28" s="47" t="s">
        <v>137</v>
      </c>
      <c r="K28" s="47" t="s">
        <v>139</v>
      </c>
      <c r="L28" s="49">
        <f>+IF(OR(K28="BGA",K28="FP",K28="TH"),1,IF($K$4*B28&lt;100,5,0))</f>
        <v>1</v>
      </c>
      <c r="M28" s="48">
        <f>+IF(AND(K28="",$K$4*B28&gt;100),0.05,0)</f>
        <v>0</v>
      </c>
      <c r="N28" s="49">
        <f>+ROUNDUP($K$4*B28*M28+L28,0)</f>
        <v>1</v>
      </c>
      <c r="O28" s="42">
        <f>+IF(OR(LEFT(I28&amp;"",1)="C",LEFT(I28&amp;"",1)="R"),ROUNDUP($K$4*B28+N28,-1),$K$4*B28+N28)</f>
        <v>25</v>
      </c>
    </row>
    <row r="29" spans="1:15" x14ac:dyDescent="0.25">
      <c r="A29" s="13"/>
      <c r="B29" s="46">
        <v>12</v>
      </c>
      <c r="C29" s="46" t="s">
        <v>28</v>
      </c>
      <c r="D29" s="46" t="s">
        <v>50</v>
      </c>
      <c r="E29" s="47" t="s">
        <v>52</v>
      </c>
      <c r="F29" s="47" t="s">
        <v>75</v>
      </c>
      <c r="G29" s="47" t="s">
        <v>93</v>
      </c>
      <c r="H29" s="47" t="s">
        <v>105</v>
      </c>
      <c r="I29" s="47" t="s">
        <v>126</v>
      </c>
      <c r="J29" s="47" t="s">
        <v>130</v>
      </c>
      <c r="K29" s="47" t="s">
        <v>64</v>
      </c>
      <c r="L29" s="49">
        <f t="shared" ref="L29" si="36">+IF(OR(K29="BGA",K29="FP",K29="TH"),1,IF($K$4*B29&lt;100,5,0))</f>
        <v>5</v>
      </c>
      <c r="M29" s="48">
        <f t="shared" ref="M29" si="37">+IF(AND(K29="",$K$4*B29&gt;100),0.05,0)</f>
        <v>0</v>
      </c>
      <c r="N29" s="49">
        <f t="shared" ref="N29" si="38">+ROUNDUP($K$4*B29*M29+L29,0)</f>
        <v>5</v>
      </c>
      <c r="O29" s="42">
        <f t="shared" ref="O29" si="39">+IF(OR(LEFT(I29&amp;"",1)="C",LEFT(I29&amp;"",1)="R"),ROUNDUP($K$4*B29+N29,-1),$K$4*B29+N29)</f>
        <v>17</v>
      </c>
    </row>
    <row r="30" spans="1:15" x14ac:dyDescent="0.25">
      <c r="A30" s="14"/>
      <c r="B30" s="43">
        <f>SUM(B10:B29)</f>
        <v>269</v>
      </c>
      <c r="C30" s="50"/>
      <c r="D30" s="50"/>
      <c r="E30" s="44" t="s">
        <v>9</v>
      </c>
      <c r="F30" s="44"/>
      <c r="G30" s="44"/>
      <c r="H30" s="44"/>
      <c r="I30" s="45"/>
      <c r="J30" s="45"/>
      <c r="K30" s="44"/>
      <c r="L30" s="45"/>
      <c r="M30" s="45"/>
      <c r="N30" s="45"/>
      <c r="O30" s="45"/>
    </row>
    <row r="31" spans="1:15" x14ac:dyDescent="0.25">
      <c r="B31" s="1"/>
      <c r="C31" s="1"/>
      <c r="D31" s="1"/>
      <c r="E31" s="1"/>
    </row>
    <row r="32" spans="1:15" x14ac:dyDescent="0.25">
      <c r="B32" s="1"/>
      <c r="C32" s="1"/>
      <c r="D32" s="1"/>
      <c r="E32" s="1"/>
    </row>
    <row r="33" spans="2:9" x14ac:dyDescent="0.25">
      <c r="B33" s="1"/>
      <c r="C33" s="1"/>
      <c r="D33" s="1"/>
      <c r="E33" s="1"/>
    </row>
    <row r="34" spans="2:9" ht="17.5" x14ac:dyDescent="0.25">
      <c r="B34" s="1"/>
      <c r="C34" s="1"/>
      <c r="D34" s="1"/>
      <c r="E34" s="55" t="s">
        <v>8</v>
      </c>
      <c r="F34" s="56"/>
      <c r="G34" s="57"/>
      <c r="H34" s="20"/>
      <c r="I34" s="21"/>
    </row>
    <row r="35" spans="2:9" x14ac:dyDescent="0.25">
      <c r="E35" s="33" t="s">
        <v>3</v>
      </c>
      <c r="F35" s="34"/>
      <c r="G35" s="35">
        <f>COUNT(B10:B29)</f>
        <v>20</v>
      </c>
    </row>
    <row r="36" spans="2:9" x14ac:dyDescent="0.25">
      <c r="E36" s="16" t="s">
        <v>4</v>
      </c>
      <c r="F36" s="30"/>
      <c r="G36" s="28">
        <f>SUMIF($K$10:$K$29, "", $B$10:$B$29)</f>
        <v>238</v>
      </c>
    </row>
    <row r="37" spans="2:9" x14ac:dyDescent="0.25">
      <c r="E37" s="33" t="s">
        <v>5</v>
      </c>
      <c r="F37" s="34"/>
      <c r="G37" s="36">
        <f>SUMIF($K$10:$K$29, "TH", $B$10:$B$29)</f>
        <v>31</v>
      </c>
    </row>
    <row r="38" spans="2:9" x14ac:dyDescent="0.25">
      <c r="E38" s="16" t="s">
        <v>6</v>
      </c>
      <c r="F38" s="30"/>
      <c r="G38" s="28">
        <f>SUMIF($K$10:$K$29, "FP", $B$10:$B$29)</f>
        <v>0</v>
      </c>
    </row>
    <row r="39" spans="2:9" x14ac:dyDescent="0.25">
      <c r="E39" s="33" t="s">
        <v>7</v>
      </c>
      <c r="F39" s="34"/>
      <c r="G39" s="36">
        <f>SUMIF($K$10:$K$29, "BGA", $B$10:$B$29)</f>
        <v>0</v>
      </c>
    </row>
    <row r="40" spans="2:9" x14ac:dyDescent="0.25">
      <c r="E40" s="27" t="s">
        <v>16</v>
      </c>
      <c r="F40" s="31"/>
      <c r="G40" s="29">
        <f>SUMIF($K$10:$K$29, "M", $B$10:$B$29)</f>
        <v>0</v>
      </c>
    </row>
  </sheetData>
  <mergeCells count="3">
    <mergeCell ref="I4:J4"/>
    <mergeCell ref="G8:H8"/>
    <mergeCell ref="E34:G34"/>
  </mergeCells>
  <phoneticPr fontId="0" type="noConversion"/>
  <conditionalFormatting sqref="B10:N29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2025-10-17T19:25:01Z</dcterms:modified>
</cp:coreProperties>
</file>